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093025 September\toWeb\"/>
    </mc:Choice>
  </mc:AlternateContent>
  <xr:revisionPtr revIDLastSave="0" documentId="8_{856A051C-E71D-4751-A9CB-C634B35694C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8" r:id="rId1"/>
    <sheet name="1-67" sheetId="1" r:id="rId2"/>
  </sheets>
  <externalReferences>
    <externalReference r:id="rId3"/>
  </externalReferences>
  <definedNames>
    <definedName name="Eno_TM">'[1]1997  Table 1a Modified'!#REF!</definedName>
    <definedName name="Eno_Tons">'[1]1997  Table 1a Modified'!#REF!</definedName>
    <definedName name="_xlnm.Print_Area" localSheetId="1">'1-67'!$A$1:$Y$20</definedName>
    <definedName name="Sum_T2">'[1]1997  Table 1a Modified'!#REF!</definedName>
    <definedName name="Sum_TTM">'[1]1997  Table 1a Modified'!#REF!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F10" i="1"/>
  <c r="F9" i="1"/>
  <c r="F8" i="1"/>
  <c r="F7" i="1"/>
  <c r="F6" i="1"/>
  <c r="F5" i="1"/>
  <c r="G10" i="1"/>
  <c r="G9" i="1"/>
  <c r="G8" i="1"/>
  <c r="G7" i="1"/>
  <c r="G6" i="1"/>
  <c r="G5" i="1"/>
  <c r="H10" i="1"/>
  <c r="H9" i="1"/>
  <c r="H8" i="1"/>
  <c r="H7" i="1"/>
  <c r="H6" i="1"/>
  <c r="H5" i="1"/>
  <c r="I10" i="1"/>
  <c r="I9" i="1"/>
  <c r="I8" i="1"/>
  <c r="I7" i="1"/>
  <c r="I6" i="1"/>
  <c r="I5" i="1"/>
  <c r="J10" i="1"/>
  <c r="J9" i="1"/>
  <c r="J8" i="1"/>
  <c r="J7" i="1"/>
  <c r="J6" i="1"/>
  <c r="J5" i="1"/>
  <c r="K10" i="1"/>
  <c r="K9" i="1"/>
  <c r="K8" i="1"/>
  <c r="K7" i="1"/>
  <c r="K6" i="1"/>
  <c r="K5" i="1"/>
  <c r="L10" i="1"/>
  <c r="L9" i="1"/>
  <c r="L8" i="1"/>
  <c r="L7" i="1"/>
  <c r="L6" i="1"/>
  <c r="L5" i="1"/>
  <c r="M10" i="1"/>
  <c r="M9" i="1"/>
  <c r="M8" i="1"/>
  <c r="M7" i="1"/>
  <c r="M6" i="1"/>
  <c r="M5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<sst xmlns="http://schemas.openxmlformats.org/spreadsheetml/2006/main" count="42" uniqueCount="18">
  <si>
    <t>Operations delayed (thousands)</t>
  </si>
  <si>
    <t>Weather</t>
  </si>
  <si>
    <t>Airport terminal volume</t>
  </si>
  <si>
    <t>Other</t>
  </si>
  <si>
    <t>National Airspace System equipment</t>
  </si>
  <si>
    <t>SOURCES</t>
  </si>
  <si>
    <t>Closed runways / taxiways</t>
  </si>
  <si>
    <t>Air Route Traffic Control Center volume</t>
  </si>
  <si>
    <t>Cause (percent)</t>
  </si>
  <si>
    <t>U</t>
  </si>
  <si>
    <r>
      <t xml:space="preserve">Beginning in 2008 the FAA started to combine </t>
    </r>
    <r>
      <rPr>
        <i/>
        <sz val="9"/>
        <rFont val="Arial"/>
        <family val="2"/>
      </rPr>
      <t>Air Route Traffic Control Center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volume</t>
    </r>
    <r>
      <rPr>
        <sz val="9"/>
        <rFont val="Arial"/>
        <family val="2"/>
      </rPr>
      <t xml:space="preserve"> and </t>
    </r>
    <r>
      <rPr>
        <i/>
        <sz val="9"/>
        <rFont val="Arial"/>
        <family val="2"/>
      </rPr>
      <t>Airport Terminal volume</t>
    </r>
    <r>
      <rPr>
        <sz val="9"/>
        <rFont val="Arial"/>
        <family val="2"/>
      </rPr>
      <t xml:space="preserve"> and retroactively applied this change through the year 2000.</t>
    </r>
  </si>
  <si>
    <r>
      <t xml:space="preserve">As of 2008, the FAA reports </t>
    </r>
    <r>
      <rPr>
        <i/>
        <sz val="9"/>
        <rFont val="Arial"/>
        <family val="2"/>
      </rPr>
      <t>delays</t>
    </r>
    <r>
      <rPr>
        <sz val="9"/>
        <rFont val="Arial"/>
        <family val="2"/>
      </rPr>
      <t xml:space="preserve"> for aircraft that accumulate a </t>
    </r>
    <r>
      <rPr>
        <i/>
        <sz val="9"/>
        <rFont val="Arial"/>
        <family val="2"/>
      </rPr>
      <t xml:space="preserve">delay </t>
    </r>
    <r>
      <rPr>
        <sz val="9"/>
        <rFont val="Arial"/>
        <family val="2"/>
      </rPr>
      <t xml:space="preserve">of 15 minutes or more throughout the duration of the flight. Each holding segment is recorded as one </t>
    </r>
    <r>
      <rPr>
        <i/>
        <sz val="9"/>
        <rFont val="Arial"/>
        <family val="2"/>
      </rPr>
      <t>delay</t>
    </r>
    <r>
      <rPr>
        <sz val="9"/>
        <rFont val="Arial"/>
        <family val="2"/>
      </rPr>
      <t xml:space="preserve">. The Operations Network (OPSNET) Database </t>
    </r>
    <r>
      <rPr>
        <i/>
        <sz val="9"/>
        <rFont val="Arial"/>
        <family val="2"/>
      </rPr>
      <t xml:space="preserve">delay </t>
    </r>
    <r>
      <rPr>
        <sz val="9"/>
        <rFont val="Arial"/>
        <family val="2"/>
      </rPr>
      <t>data dating back to the year 2000 have been converted to be consistent with the new definitions.</t>
    </r>
  </si>
  <si>
    <t>NOTES</t>
  </si>
  <si>
    <r>
      <t>KEY:</t>
    </r>
    <r>
      <rPr>
        <sz val="9"/>
        <rFont val="Arial"/>
        <family val="2"/>
      </rPr>
      <t xml:space="preserve">  FAA = Federal Aviation Administration; U = data are not available.</t>
    </r>
  </si>
  <si>
    <r>
      <t xml:space="preserve">1987-99: U.S. Department of Transportation, Federal Aviation Administration, </t>
    </r>
    <r>
      <rPr>
        <i/>
        <sz val="9"/>
        <rFont val="Arial"/>
        <family val="2"/>
      </rPr>
      <t>Aviation Capacity Enhancement Plan</t>
    </r>
    <r>
      <rPr>
        <sz val="9"/>
        <rFont val="Arial"/>
        <family val="2"/>
      </rPr>
      <t xml:space="preserve"> (Washington, DC: Annual Issues). </t>
    </r>
  </si>
  <si>
    <t>Table 1-67:  FAA-Cited Causes of Departure and En Route Delays (after pushing back from the gate)</t>
  </si>
  <si>
    <t>The data for 2020 are unusual due to the COVID-19 pandemic and not indicative of the overall annual trend.</t>
  </si>
  <si>
    <r>
      <t xml:space="preserve">2000-24: U.S. Department of Transportation, Federal Aviation Administration, </t>
    </r>
    <r>
      <rPr>
        <i/>
        <sz val="9"/>
        <rFont val="Arial"/>
        <family val="2"/>
      </rPr>
      <t>The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Operations Network (OPSNET) Database Delays: Delay by Cause Report</t>
    </r>
    <r>
      <rPr>
        <sz val="9"/>
        <rFont val="Arial"/>
        <family val="2"/>
      </rPr>
      <t>, available at https://aspm.faa.gov/opsnet/sys/Delays.asp as of Sep. 23,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</si>
</sst>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_)"/>
    <numFmt numFmtId="165" formatCode="#,##0_)"/>
    <numFmt numFmtId="166" formatCode="0.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Helv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b/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0">
    <xf numFmtId="0" fontId="0" fillId="0" borderId="0"/>
    <xf numFmtId="0" fontId="2" fillId="0" borderId="0">
      <alignment horizontal="center" vertical="center" wrapText="1"/>
    </xf>
    <xf numFmtId="0" fontId="3" fillId="0" borderId="0">
      <alignment horizontal="left" vertical="center" wrapText="1"/>
    </xf>
    <xf numFmtId="164" fontId="4" fillId="0" borderId="1" applyNumberFormat="0" applyFill="0">
      <alignment horizontal="right"/>
    </xf>
    <xf numFmtId="165" fontId="5" fillId="0" borderId="1">
      <alignment horizontal="right" vertical="center"/>
    </xf>
    <xf numFmtId="49" fontId="6" fillId="0" borderId="1">
      <alignment horizontal="left" vertical="center"/>
    </xf>
    <xf numFmtId="164" fontId="4" fillId="0" borderId="1" applyNumberFormat="0" applyFill="0">
      <alignment horizontal="right"/>
    </xf>
    <xf numFmtId="0" fontId="8" fillId="0" borderId="1">
      <alignment horizontal="left"/>
    </xf>
    <xf numFmtId="0" fontId="9" fillId="0" borderId="2">
      <alignment horizontal="right" vertical="center"/>
    </xf>
    <xf numFmtId="0" fontId="10" fillId="0" borderId="1">
      <alignment horizontal="left" vertical="center"/>
    </xf>
    <xf numFmtId="0" fontId="4" fillId="0" borderId="1">
      <alignment horizontal="left" vertical="center"/>
    </xf>
    <xf numFmtId="0" fontId="8" fillId="0" borderId="1">
      <alignment horizontal="left"/>
    </xf>
    <xf numFmtId="0" fontId="8" fillId="2" borderId="0">
      <alignment horizontal="centerContinuous" wrapText="1"/>
    </xf>
    <xf numFmtId="49" fontId="8" fillId="2" borderId="3">
      <alignment horizontal="left" vertical="center"/>
    </xf>
    <xf numFmtId="0" fontId="8" fillId="2" borderId="0">
      <alignment horizontal="centerContinuous" vertical="center" wrapText="1"/>
    </xf>
    <xf numFmtId="0" fontId="14" fillId="0" borderId="0"/>
    <xf numFmtId="3" fontId="5" fillId="0" borderId="0">
      <alignment horizontal="left" vertical="center"/>
    </xf>
    <xf numFmtId="0" fontId="2" fillId="0" borderId="0">
      <alignment horizontal="left" vertical="center"/>
    </xf>
    <xf numFmtId="0" fontId="7" fillId="0" borderId="0">
      <alignment horizontal="right"/>
    </xf>
    <xf numFmtId="49" fontId="7" fillId="0" borderId="0">
      <alignment horizontal="center"/>
    </xf>
    <xf numFmtId="0" fontId="6" fillId="0" borderId="0">
      <alignment horizontal="right"/>
    </xf>
    <xf numFmtId="0" fontId="7" fillId="0" borderId="0">
      <alignment horizontal="left"/>
    </xf>
    <xf numFmtId="49" fontId="5" fillId="0" borderId="0">
      <alignment horizontal="left" vertical="center"/>
    </xf>
    <xf numFmtId="49" fontId="6" fillId="0" borderId="1">
      <alignment horizontal="left"/>
    </xf>
    <xf numFmtId="164" fontId="5" fillId="0" borderId="0" applyNumberFormat="0">
      <alignment horizontal="right"/>
    </xf>
    <xf numFmtId="0" fontId="9" fillId="3" borderId="0">
      <alignment horizontal="centerContinuous" vertical="center" wrapText="1"/>
    </xf>
    <xf numFmtId="0" fontId="9" fillId="0" borderId="4">
      <alignment horizontal="left" vertical="center"/>
    </xf>
    <xf numFmtId="0" fontId="11" fillId="0" borderId="0">
      <alignment horizontal="left" vertical="top"/>
    </xf>
    <xf numFmtId="0" fontId="8" fillId="0" borderId="0">
      <alignment horizontal="left"/>
    </xf>
    <xf numFmtId="0" fontId="3" fillId="0" borderId="0">
      <alignment horizontal="left"/>
    </xf>
    <xf numFmtId="0" fontId="4" fillId="0" borderId="0">
      <alignment horizontal="left"/>
    </xf>
    <xf numFmtId="0" fontId="11" fillId="0" borderId="0">
      <alignment horizontal="left" vertical="top"/>
    </xf>
    <xf numFmtId="0" fontId="3" fillId="0" borderId="0">
      <alignment horizontal="left"/>
    </xf>
    <xf numFmtId="0" fontId="4" fillId="0" borderId="0">
      <alignment horizontal="left"/>
    </xf>
    <xf numFmtId="49" fontId="5" fillId="0" borderId="1">
      <alignment horizontal="left"/>
    </xf>
    <xf numFmtId="0" fontId="9" fillId="0" borderId="2">
      <alignment horizontal="left"/>
    </xf>
    <xf numFmtId="0" fontId="8" fillId="0" borderId="0">
      <alignment horizontal="left" vertical="center"/>
    </xf>
    <xf numFmtId="49" fontId="7" fillId="0" borderId="1">
      <alignment horizontal="left"/>
    </xf>
    <xf numFmtId="0" fontId="1" fillId="0" borderId="0"/>
    <xf numFmtId="0" fontId="21" fillId="0" borderId="0" applyNumberFormat="0" applyFill="0" applyBorder="0" applyAlignment="0" applyProtection="0"/>
  </cellStyleXfs>
  <cellXfs count="30">
    <xf numFmtId="0" fontId="0" fillId="0" borderId="0" xfId="0"/>
    <xf numFmtId="0" fontId="13" fillId="0" borderId="0" xfId="0" applyFont="1" applyFill="1"/>
    <xf numFmtId="0" fontId="14" fillId="0" borderId="0" xfId="0" applyFont="1" applyFill="1"/>
    <xf numFmtId="0" fontId="16" fillId="0" borderId="0" xfId="0" applyFont="1" applyFill="1" applyBorder="1" applyAlignment="1">
      <alignment horizontal="left"/>
    </xf>
    <xf numFmtId="0" fontId="18" fillId="0" borderId="0" xfId="0" applyFont="1" applyFill="1"/>
    <xf numFmtId="0" fontId="16" fillId="0" borderId="0" xfId="0" applyFont="1" applyFill="1" applyBorder="1"/>
    <xf numFmtId="0" fontId="15" fillId="0" borderId="6" xfId="0" applyFont="1" applyFill="1" applyBorder="1" applyAlignment="1">
      <alignment horizontal="center"/>
    </xf>
    <xf numFmtId="1" fontId="15" fillId="0" borderId="0" xfId="0" applyNumberFormat="1" applyFont="1" applyFill="1" applyBorder="1" applyAlignment="1">
      <alignment horizontal="right"/>
    </xf>
    <xf numFmtId="0" fontId="16" fillId="0" borderId="6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1" fontId="16" fillId="0" borderId="0" xfId="0" applyNumberFormat="1" applyFont="1" applyFill="1" applyBorder="1" applyAlignment="1">
      <alignment horizontal="right"/>
    </xf>
    <xf numFmtId="1" fontId="16" fillId="0" borderId="0" xfId="0" applyNumberFormat="1" applyFont="1" applyFill="1" applyAlignment="1">
      <alignment horizontal="right"/>
    </xf>
    <xf numFmtId="1" fontId="15" fillId="0" borderId="0" xfId="0" applyNumberFormat="1" applyFont="1" applyFill="1" applyAlignment="1">
      <alignment horizontal="right"/>
    </xf>
    <xf numFmtId="0" fontId="18" fillId="0" borderId="0" xfId="0" applyFont="1" applyFill="1" applyAlignment="1">
      <alignment vertical="top"/>
    </xf>
    <xf numFmtId="3" fontId="15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indent="1"/>
    </xf>
    <xf numFmtId="0" fontId="15" fillId="0" borderId="5" xfId="0" applyFont="1" applyFill="1" applyBorder="1" applyAlignment="1">
      <alignment horizontal="left" indent="1"/>
    </xf>
    <xf numFmtId="166" fontId="15" fillId="0" borderId="0" xfId="0" applyNumberFormat="1" applyFont="1" applyFill="1" applyBorder="1" applyAlignment="1">
      <alignment horizontal="right"/>
    </xf>
    <xf numFmtId="166" fontId="15" fillId="0" borderId="5" xfId="0" applyNumberFormat="1" applyFont="1" applyFill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0" fontId="12" fillId="0" borderId="5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Alignment="1">
      <alignment wrapText="1"/>
    </xf>
    <xf numFmtId="0" fontId="17" fillId="0" borderId="7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 wrapText="1"/>
    </xf>
    <xf numFmtId="0" fontId="18" fillId="0" borderId="0" xfId="0" applyNumberFormat="1" applyFont="1" applyFill="1" applyAlignment="1">
      <alignment horizontal="left" wrapText="1"/>
    </xf>
  </cellXfs>
  <cellStyles count="40">
    <cellStyle name="Column heading" xfId="1" xr:uid="{00000000-0005-0000-0000-000000000000}"/>
    <cellStyle name="Corner heading" xfId="2" xr:uid="{00000000-0005-0000-0000-000001000000}"/>
    <cellStyle name="Data" xfId="3" xr:uid="{00000000-0005-0000-0000-000002000000}"/>
    <cellStyle name="Data no deci" xfId="4" xr:uid="{00000000-0005-0000-0000-000003000000}"/>
    <cellStyle name="Data Superscript" xfId="5" xr:uid="{00000000-0005-0000-0000-000004000000}"/>
    <cellStyle name="Data_1-1A-Regular" xfId="6" xr:uid="{00000000-0005-0000-0000-000005000000}"/>
    <cellStyle name="Hed Side" xfId="7" xr:uid="{00000000-0005-0000-0000-000006000000}"/>
    <cellStyle name="Hed Side bold" xfId="8" xr:uid="{00000000-0005-0000-0000-000007000000}"/>
    <cellStyle name="Hed Side Indent" xfId="9" xr:uid="{00000000-0005-0000-0000-000008000000}"/>
    <cellStyle name="Hed Side Regular" xfId="10" xr:uid="{00000000-0005-0000-0000-000009000000}"/>
    <cellStyle name="Hed Side_1-1A-Regular" xfId="11" xr:uid="{00000000-0005-0000-0000-00000A000000}"/>
    <cellStyle name="Hed Top" xfId="12" xr:uid="{00000000-0005-0000-0000-00000B000000}"/>
    <cellStyle name="Hed Top - SECTION" xfId="13" xr:uid="{00000000-0005-0000-0000-00000C000000}"/>
    <cellStyle name="Hed Top_3-new4" xfId="14" xr:uid="{00000000-0005-0000-0000-00000D000000}"/>
    <cellStyle name="Hyperlink 2" xfId="39" xr:uid="{00000000-0005-0000-0000-00000F000000}"/>
    <cellStyle name="Normal" xfId="0" builtinId="0"/>
    <cellStyle name="Normal 2" xfId="15" xr:uid="{00000000-0005-0000-0000-000011000000}"/>
    <cellStyle name="Normal 3" xfId="38" xr:uid="{00000000-0005-0000-0000-000012000000}"/>
    <cellStyle name="Reference" xfId="16" xr:uid="{00000000-0005-0000-0000-000013000000}"/>
    <cellStyle name="Row heading" xfId="17" xr:uid="{00000000-0005-0000-0000-000014000000}"/>
    <cellStyle name="Source Hed" xfId="18" xr:uid="{00000000-0005-0000-0000-000015000000}"/>
    <cellStyle name="Source Letter" xfId="19" xr:uid="{00000000-0005-0000-0000-000016000000}"/>
    <cellStyle name="Source Superscript" xfId="20" xr:uid="{00000000-0005-0000-0000-000017000000}"/>
    <cellStyle name="Source Text" xfId="21" xr:uid="{00000000-0005-0000-0000-000018000000}"/>
    <cellStyle name="State" xfId="22" xr:uid="{00000000-0005-0000-0000-000019000000}"/>
    <cellStyle name="Superscript" xfId="23" xr:uid="{00000000-0005-0000-0000-00001A000000}"/>
    <cellStyle name="Table Data" xfId="24" xr:uid="{00000000-0005-0000-0000-00001B000000}"/>
    <cellStyle name="Table Head Top" xfId="25" xr:uid="{00000000-0005-0000-0000-00001C000000}"/>
    <cellStyle name="Table Hed Side" xfId="26" xr:uid="{00000000-0005-0000-0000-00001D000000}"/>
    <cellStyle name="Table Title" xfId="27" xr:uid="{00000000-0005-0000-0000-00001E000000}"/>
    <cellStyle name="Title Text" xfId="28" xr:uid="{00000000-0005-0000-0000-00001F000000}"/>
    <cellStyle name="Title Text 1" xfId="29" xr:uid="{00000000-0005-0000-0000-000020000000}"/>
    <cellStyle name="Title Text 2" xfId="30" xr:uid="{00000000-0005-0000-0000-000021000000}"/>
    <cellStyle name="Title-1" xfId="31" xr:uid="{00000000-0005-0000-0000-000022000000}"/>
    <cellStyle name="Title-2" xfId="32" xr:uid="{00000000-0005-0000-0000-000023000000}"/>
    <cellStyle name="Title-3" xfId="33" xr:uid="{00000000-0005-0000-0000-000024000000}"/>
    <cellStyle name="Wrap" xfId="34" xr:uid="{00000000-0005-0000-0000-000025000000}"/>
    <cellStyle name="Wrap Bold" xfId="35" xr:uid="{00000000-0005-0000-0000-000026000000}"/>
    <cellStyle name="Wrap Title" xfId="36" xr:uid="{00000000-0005-0000-0000-000027000000}"/>
    <cellStyle name="Wrap_NTS99-~11" xfId="37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FAA-Cited Causes of Departure and En Route Delays (percent)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'1-67'!$A$5</c:f>
              <c:strCache>
                <c:ptCount val="1"/>
                <c:pt idx="0">
                  <c:v>Weather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'1-67'!$B$2:$AM$2</c15:sqref>
                  </c15:fullRef>
                </c:ext>
              </c:extLst>
              <c:f>'1-67'!$O$2:$AM$2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'1-67'!$B$5:$AM$5</c15:sqref>
                  </c15:fullRef>
                </c:ext>
              </c:extLst>
              <c:f>'1-67'!$O$5:$AM$5</c:f>
              <c:numCache>
                <c:formatCode>0.0</c:formatCode>
                <c:ptCount val="25"/>
                <c:pt idx="0">
                  <c:v>68.730748474868363</c:v>
                </c:pt>
                <c:pt idx="1">
                  <c:v>71.662122992332726</c:v>
                </c:pt>
                <c:pt idx="2">
                  <c:v>71.67642806381258</c:v>
                </c:pt>
                <c:pt idx="3">
                  <c:v>72.106864254878701</c:v>
                </c:pt>
                <c:pt idx="4">
                  <c:v>70.070748813167796</c:v>
                </c:pt>
                <c:pt idx="5">
                  <c:v>68.590732223357037</c:v>
                </c:pt>
                <c:pt idx="6">
                  <c:v>65.641442686943435</c:v>
                </c:pt>
                <c:pt idx="7">
                  <c:v>65.014225316441653</c:v>
                </c:pt>
                <c:pt idx="8">
                  <c:v>66.026383073866114</c:v>
                </c:pt>
                <c:pt idx="9">
                  <c:v>65.400187647391945</c:v>
                </c:pt>
                <c:pt idx="10">
                  <c:v>69.609577537059849</c:v>
                </c:pt>
                <c:pt idx="11">
                  <c:v>76.011246337820353</c:v>
                </c:pt>
                <c:pt idx="12">
                  <c:v>69.725194420887391</c:v>
                </c:pt>
                <c:pt idx="13">
                  <c:v>69.661546214555045</c:v>
                </c:pt>
                <c:pt idx="14">
                  <c:v>61.906911704781642</c:v>
                </c:pt>
                <c:pt idx="15">
                  <c:v>63.521533217981386</c:v>
                </c:pt>
                <c:pt idx="16">
                  <c:v>66.202752224531508</c:v>
                </c:pt>
                <c:pt idx="17">
                  <c:v>59.598856444188719</c:v>
                </c:pt>
                <c:pt idx="18">
                  <c:v>67.370635330403829</c:v>
                </c:pt>
                <c:pt idx="19">
                  <c:v>68.288484269019818</c:v>
                </c:pt>
                <c:pt idx="20">
                  <c:v>55.837942567677267</c:v>
                </c:pt>
                <c:pt idx="21">
                  <c:v>55.673011314452147</c:v>
                </c:pt>
                <c:pt idx="22">
                  <c:v>57.626000906764382</c:v>
                </c:pt>
                <c:pt idx="23">
                  <c:v>60.623761975987392</c:v>
                </c:pt>
                <c:pt idx="24">
                  <c:v>53.899167994533585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69-48E5-A3AF-256DAB53C7C3}"/>
            </c:ext>
          </c:extLst>
        </c:ser>
        <c:ser>
          <c:idx val="3"/>
          <c:order val="3"/>
          <c:tx>
            <c:strRef>
              <c:f>'1-67'!$A$6</c:f>
              <c:strCache>
                <c:ptCount val="1"/>
                <c:pt idx="0">
                  <c:v>Airport terminal volume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'1-67'!$B$2:$AM$2</c15:sqref>
                  </c15:fullRef>
                </c:ext>
              </c:extLst>
              <c:f>'1-67'!$O$2:$AM$2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'1-67'!$B$6:$AM$6</c15:sqref>
                  </c15:fullRef>
                </c:ext>
              </c:extLst>
              <c:f>'1-67'!$O$6:$AM$6</c:f>
              <c:numCache>
                <c:formatCode>0.0</c:formatCode>
                <c:ptCount val="25"/>
                <c:pt idx="0">
                  <c:v>14.001674480167182</c:v>
                </c:pt>
                <c:pt idx="1">
                  <c:v>11.992140257337628</c:v>
                </c:pt>
                <c:pt idx="2">
                  <c:v>13.902376693074366</c:v>
                </c:pt>
                <c:pt idx="3">
                  <c:v>10.765002145868571</c:v>
                </c:pt>
                <c:pt idx="4">
                  <c:v>14.549399008374797</c:v>
                </c:pt>
                <c:pt idx="5">
                  <c:v>15.12725428236536</c:v>
                </c:pt>
                <c:pt idx="6">
                  <c:v>15.627820924653356</c:v>
                </c:pt>
                <c:pt idx="7">
                  <c:v>18.63340832666281</c:v>
                </c:pt>
                <c:pt idx="8">
                  <c:v>19.862855617943087</c:v>
                </c:pt>
                <c:pt idx="9">
                  <c:v>21.971016085269678</c:v>
                </c:pt>
                <c:pt idx="10">
                  <c:v>18.834371019179539</c:v>
                </c:pt>
                <c:pt idx="11">
                  <c:v>15.724876765950743</c:v>
                </c:pt>
                <c:pt idx="12">
                  <c:v>16.662636906587753</c:v>
                </c:pt>
                <c:pt idx="13">
                  <c:v>18.527217587718113</c:v>
                </c:pt>
                <c:pt idx="14">
                  <c:v>20.836545818590103</c:v>
                </c:pt>
                <c:pt idx="15">
                  <c:v>23.525344135029396</c:v>
                </c:pt>
                <c:pt idx="16">
                  <c:v>23.379145849374471</c:v>
                </c:pt>
                <c:pt idx="17">
                  <c:v>23.702711449942463</c:v>
                </c:pt>
                <c:pt idx="18">
                  <c:v>21.315437633727367</c:v>
                </c:pt>
                <c:pt idx="19">
                  <c:v>20.839848161557505</c:v>
                </c:pt>
                <c:pt idx="20">
                  <c:v>30.319200753352742</c:v>
                </c:pt>
                <c:pt idx="21">
                  <c:v>28.202621368121967</c:v>
                </c:pt>
                <c:pt idx="22">
                  <c:v>27.451355088184709</c:v>
                </c:pt>
                <c:pt idx="23">
                  <c:v>26.741992426998696</c:v>
                </c:pt>
                <c:pt idx="24">
                  <c:v>27.490345544108052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69-48E5-A3AF-256DAB53C7C3}"/>
            </c:ext>
          </c:extLst>
        </c:ser>
        <c:ser>
          <c:idx val="5"/>
          <c:order val="5"/>
          <c:tx>
            <c:strRef>
              <c:f>'1-67'!$A$8</c:f>
              <c:strCache>
                <c:ptCount val="1"/>
                <c:pt idx="0">
                  <c:v>Closed runways / taxiways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'1-67'!$B$2:$AM$2</c15:sqref>
                  </c15:fullRef>
                </c:ext>
              </c:extLst>
              <c:f>'1-67'!$O$2:$AM$2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'1-67'!$B$8:$AM$8</c15:sqref>
                  </c15:fullRef>
                </c:ext>
              </c:extLst>
              <c:f>'1-67'!$O$8:$AM$8</c:f>
              <c:numCache>
                <c:formatCode>0.0</c:formatCode>
                <c:ptCount val="25"/>
                <c:pt idx="0">
                  <c:v>5.9044302658959023</c:v>
                </c:pt>
                <c:pt idx="1">
                  <c:v>5.205355886045222</c:v>
                </c:pt>
                <c:pt idx="2">
                  <c:v>4.3465931965454105</c:v>
                </c:pt>
                <c:pt idx="3">
                  <c:v>6.6364141273888571</c:v>
                </c:pt>
                <c:pt idx="4">
                  <c:v>5.9622672996438402</c:v>
                </c:pt>
                <c:pt idx="5">
                  <c:v>10.236092737172326</c:v>
                </c:pt>
                <c:pt idx="6">
                  <c:v>14.270320822998414</c:v>
                </c:pt>
                <c:pt idx="7">
                  <c:v>11.906192403181887</c:v>
                </c:pt>
                <c:pt idx="8">
                  <c:v>9.4573006033198812</c:v>
                </c:pt>
                <c:pt idx="9">
                  <c:v>5.8111523409434778</c:v>
                </c:pt>
                <c:pt idx="10">
                  <c:v>4.4248078018860326</c:v>
                </c:pt>
                <c:pt idx="11">
                  <c:v>2.7646237233497848</c:v>
                </c:pt>
                <c:pt idx="12">
                  <c:v>7.156853900146154</c:v>
                </c:pt>
                <c:pt idx="13">
                  <c:v>4.9743677426515367</c:v>
                </c:pt>
                <c:pt idx="14">
                  <c:v>7.8629912903783756</c:v>
                </c:pt>
                <c:pt idx="15">
                  <c:v>6.9106678017462606</c:v>
                </c:pt>
                <c:pt idx="16">
                  <c:v>5.5666838415357809</c:v>
                </c:pt>
                <c:pt idx="17">
                  <c:v>9.7705696202531644</c:v>
                </c:pt>
                <c:pt idx="18">
                  <c:v>6.6159676957520634</c:v>
                </c:pt>
                <c:pt idx="19">
                  <c:v>6.4224327921914171</c:v>
                </c:pt>
                <c:pt idx="20">
                  <c:v>6.2725275201056432</c:v>
                </c:pt>
                <c:pt idx="21">
                  <c:v>9.3703217133604237</c:v>
                </c:pt>
                <c:pt idx="22">
                  <c:v>5.3765133035824686</c:v>
                </c:pt>
                <c:pt idx="23">
                  <c:v>8.6621255609006749</c:v>
                </c:pt>
                <c:pt idx="24">
                  <c:v>10.727857760950352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69-48E5-A3AF-256DAB53C7C3}"/>
            </c:ext>
          </c:extLst>
        </c:ser>
        <c:ser>
          <c:idx val="6"/>
          <c:order val="6"/>
          <c:tx>
            <c:strRef>
              <c:f>'1-67'!$A$9</c:f>
              <c:strCache>
                <c:ptCount val="1"/>
                <c:pt idx="0">
                  <c:v>National Airspace System equipment</c:v>
                </c:pt>
              </c:strCache>
            </c:strRef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'1-67'!$B$2:$AM$2</c15:sqref>
                  </c15:fullRef>
                </c:ext>
              </c:extLst>
              <c:f>'1-67'!$O$2:$AM$2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'1-67'!$B$9:$AM$9</c15:sqref>
                  </c15:fullRef>
                </c:ext>
              </c:extLst>
              <c:f>'1-67'!$O$9:$AM$9</c:f>
              <c:numCache>
                <c:formatCode>0.0</c:formatCode>
                <c:ptCount val="25"/>
                <c:pt idx="0">
                  <c:v>2.1461772328437956</c:v>
                </c:pt>
                <c:pt idx="1">
                  <c:v>1.6348609463291037</c:v>
                </c:pt>
                <c:pt idx="2">
                  <c:v>1.1188556585179714</c:v>
                </c:pt>
                <c:pt idx="3">
                  <c:v>1.0224432607104088</c:v>
                </c:pt>
                <c:pt idx="4">
                  <c:v>1.0271972315299924</c:v>
                </c:pt>
                <c:pt idx="5">
                  <c:v>0.92147683055839258</c:v>
                </c:pt>
                <c:pt idx="6">
                  <c:v>1.1391452852437687</c:v>
                </c:pt>
                <c:pt idx="7">
                  <c:v>0.99327648136474311</c:v>
                </c:pt>
                <c:pt idx="8">
                  <c:v>1.0183953061496795</c:v>
                </c:pt>
                <c:pt idx="9">
                  <c:v>0.54096545428419285</c:v>
                </c:pt>
                <c:pt idx="10">
                  <c:v>0.46569073481284368</c:v>
                </c:pt>
                <c:pt idx="11">
                  <c:v>0.64199864874281576</c:v>
                </c:pt>
                <c:pt idx="12">
                  <c:v>0.7498962487143862</c:v>
                </c:pt>
                <c:pt idx="13">
                  <c:v>0.36236122734867365</c:v>
                </c:pt>
                <c:pt idx="14">
                  <c:v>3.7910746166271396</c:v>
                </c:pt>
                <c:pt idx="15">
                  <c:v>0.44040678466167354</c:v>
                </c:pt>
                <c:pt idx="16">
                  <c:v>0.43130148842433119</c:v>
                </c:pt>
                <c:pt idx="17">
                  <c:v>0.27127984752589185</c:v>
                </c:pt>
                <c:pt idx="18">
                  <c:v>0.3064033566837191</c:v>
                </c:pt>
                <c:pt idx="19">
                  <c:v>0.64515987552931842</c:v>
                </c:pt>
                <c:pt idx="20">
                  <c:v>0.78690724885535845</c:v>
                </c:pt>
                <c:pt idx="21">
                  <c:v>0.17211002820975019</c:v>
                </c:pt>
                <c:pt idx="22">
                  <c:v>0.56766448218882426</c:v>
                </c:pt>
                <c:pt idx="23">
                  <c:v>1.3559310614329412</c:v>
                </c:pt>
                <c:pt idx="24">
                  <c:v>1.6295657385133677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69-48E5-A3AF-256DAB53C7C3}"/>
            </c:ext>
          </c:extLst>
        </c:ser>
        <c:ser>
          <c:idx val="7"/>
          <c:order val="7"/>
          <c:tx>
            <c:strRef>
              <c:f>'1-67'!$A$10</c:f>
              <c:strCache>
                <c:ptCount val="1"/>
                <c:pt idx="0">
                  <c:v>Other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'1-67'!$B$2:$AM$2</c15:sqref>
                  </c15:fullRef>
                </c:ext>
              </c:extLst>
              <c:f>'1-67'!$O$2:$AM$2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'1-67'!$B$10:$AM$10</c15:sqref>
                  </c15:fullRef>
                </c:ext>
              </c:extLst>
              <c:f>'1-67'!$O$10:$AM$10</c:f>
              <c:numCache>
                <c:formatCode>0.0</c:formatCode>
                <c:ptCount val="25"/>
                <c:pt idx="0">
                  <c:v>9.2169695462247585</c:v>
                </c:pt>
                <c:pt idx="1">
                  <c:v>9.5055199179553185</c:v>
                </c:pt>
                <c:pt idx="2">
                  <c:v>8.9557463880496702</c:v>
                </c:pt>
                <c:pt idx="3">
                  <c:v>9.469276211153467</c:v>
                </c:pt>
                <c:pt idx="4">
                  <c:v>8.3903876472835712</c:v>
                </c:pt>
                <c:pt idx="5">
                  <c:v>5.1244439265468955</c:v>
                </c:pt>
                <c:pt idx="6">
                  <c:v>3.3212702801610212</c:v>
                </c:pt>
                <c:pt idx="7">
                  <c:v>3.4528974723489059</c:v>
                </c:pt>
                <c:pt idx="8">
                  <c:v>3.6350653987212356</c:v>
                </c:pt>
                <c:pt idx="9">
                  <c:v>6.2766784721106941</c:v>
                </c:pt>
                <c:pt idx="10">
                  <c:v>6.6655529070617341</c:v>
                </c:pt>
                <c:pt idx="11">
                  <c:v>4.8572545241363017</c:v>
                </c:pt>
                <c:pt idx="12">
                  <c:v>5.7054185236643153</c:v>
                </c:pt>
                <c:pt idx="13">
                  <c:v>6.4745072277266331</c:v>
                </c:pt>
                <c:pt idx="14">
                  <c:v>5.6024765696227394</c:v>
                </c:pt>
                <c:pt idx="15">
                  <c:v>5.6020480605812875</c:v>
                </c:pt>
                <c:pt idx="16">
                  <c:v>4.4201165961339175</c:v>
                </c:pt>
                <c:pt idx="17">
                  <c:v>6.656582638089759</c:v>
                </c:pt>
                <c:pt idx="18">
                  <c:v>4.3915559834330251</c:v>
                </c:pt>
                <c:pt idx="19">
                  <c:v>3.8040749017019331</c:v>
                </c:pt>
                <c:pt idx="20">
                  <c:v>6.7834219100089843</c:v>
                </c:pt>
                <c:pt idx="21">
                  <c:v>6.581935575855713</c:v>
                </c:pt>
                <c:pt idx="22">
                  <c:v>8.9784662192796105</c:v>
                </c:pt>
                <c:pt idx="23">
                  <c:v>2.6161889746803033</c:v>
                </c:pt>
                <c:pt idx="24">
                  <c:v>6.2530629618946536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69-48E5-A3AF-256DAB53C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7589640"/>
        <c:axId val="12675916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'1-67'!$A$3</c15:sqref>
                        </c15:formulaRef>
                      </c:ext>
                    </c:extLst>
                    <c:strCache>
                      <c:ptCount val="1"/>
                      <c:pt idx="0">
                        <c:v>Operations delayed (thousands)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'1-67'!$B$2:$AM$2</c15:sqref>
                        </c15:fullRef>
                        <c15:formulaRef>
                          <c15:sqref>'1-67'!$O$2:$AM$2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'1-67'!$B$3:$AK$3</c15:sqref>
                        </c15:fullRef>
                        <c15:formulaRef>
                          <c15:sqref>'1-67'!$O$3:$AK$3</c15:sqref>
                        </c15:formulaRef>
                      </c:ext>
                    </c:extLst>
                    <c:numCache>
                      <c:formatCode>0</c:formatCode>
                      <c:ptCount val="23"/>
                      <c:pt idx="0">
                        <c:v>450.28899999999999</c:v>
                      </c:pt>
                      <c:pt idx="1">
                        <c:v>348.10300000000001</c:v>
                      </c:pt>
                      <c:pt idx="2">
                        <c:v>285.649</c:v>
                      </c:pt>
                      <c:pt idx="3">
                        <c:v>316.88799999999998</c:v>
                      </c:pt>
                      <c:pt idx="4">
                        <c:v>455.41399999999999</c:v>
                      </c:pt>
                      <c:pt idx="5">
                        <c:v>437.66699999999997</c:v>
                      </c:pt>
                      <c:pt idx="6">
                        <c:v>491.86</c:v>
                      </c:pt>
                      <c:pt idx="7">
                        <c:v>540.93700000000001</c:v>
                      </c:pt>
                      <c:pt idx="8">
                        <c:v>554.59799999999996</c:v>
                      </c:pt>
                      <c:pt idx="9">
                        <c:v>473.22800000000001</c:v>
                      </c:pt>
                      <c:pt idx="10">
                        <c:v>335.20100000000002</c:v>
                      </c:pt>
                      <c:pt idx="11">
                        <c:v>330.06299999999999</c:v>
                      </c:pt>
                      <c:pt idx="12">
                        <c:v>277.10500000000002</c:v>
                      </c:pt>
                      <c:pt idx="13">
                        <c:v>333.36900000000003</c:v>
                      </c:pt>
                      <c:pt idx="14">
                        <c:v>341.11700000000002</c:v>
                      </c:pt>
                      <c:pt idx="15">
                        <c:v>325.38099999999997</c:v>
                      </c:pt>
                      <c:pt idx="16">
                        <c:v>345.46600000000001</c:v>
                      </c:pt>
                      <c:pt idx="17">
                        <c:v>444.928</c:v>
                      </c:pt>
                      <c:pt idx="18">
                        <c:v>443.53300000000002</c:v>
                      </c:pt>
                      <c:pt idx="19">
                        <c:v>456.01100000000002</c:v>
                      </c:pt>
                      <c:pt idx="20">
                        <c:v>92.387</c:v>
                      </c:pt>
                      <c:pt idx="21">
                        <c:v>196.386</c:v>
                      </c:pt>
                      <c:pt idx="22">
                        <c:v>266.88299999999998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769-48E5-A3AF-256DAB53C7C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'1-67'!$A$4</c15:sqref>
                        </c15:formulaRef>
                      </c:ext>
                    </c:extLst>
                    <c:strCache>
                      <c:ptCount val="1"/>
                      <c:pt idx="0">
                        <c:v>Cause (percent)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'1-67'!$B$2:$AM$2</c15:sqref>
                        </c15:fullRef>
                        <c15:formulaRef>
                          <c15:sqref>'1-67'!$O$2:$AM$2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'1-67'!$B$4:$AK$4</c15:sqref>
                        </c15:fullRef>
                        <c15:formulaRef>
                          <c15:sqref>'1-67'!$O$4:$AK$4</c15:sqref>
                        </c15:formulaRef>
                      </c:ext>
                    </c:extLst>
                    <c:numCache>
                      <c:formatCode>0</c:formatCode>
                      <c:ptCount val="2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769-48E5-A3AF-256DAB53C7C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'1-67'!$A$7</c15:sqref>
                        </c15:formulaRef>
                      </c:ext>
                    </c:extLst>
                    <c:strCache>
                      <c:ptCount val="1"/>
                      <c:pt idx="0">
                        <c:v>Air Route Traffic Control Center volume</c:v>
                      </c:pt>
                    </c:strCache>
                  </c:strRef>
                </c:tx>
                <c:spPr>
                  <a:ln w="31750" cap="rnd">
                    <a:solidFill>
                      <a:schemeClr val="accent5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'1-67'!$B$2:$AM$2</c15:sqref>
                        </c15:fullRef>
                        <c15:formulaRef>
                          <c15:sqref>'1-67'!$O$2:$AM$2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'1-67'!$B$7:$AK$7</c15:sqref>
                        </c15:fullRef>
                        <c15:formulaRef>
                          <c15:sqref>'1-67'!$O$7:$AK$7</c15:sqref>
                        </c15:formulaRef>
                      </c:ext>
                    </c:extLst>
                    <c:numCache>
                      <c:formatCode>0.0</c:formatCode>
                      <c:ptCount val="2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769-48E5-A3AF-256DAB53C7C3}"/>
                  </c:ext>
                </c:extLst>
              </c15:ser>
            </c15:filteredLineSeries>
          </c:ext>
        </c:extLst>
      </c:lineChart>
      <c:catAx>
        <c:axId val="1267589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591608"/>
        <c:crosses val="autoZero"/>
        <c:auto val="1"/>
        <c:lblAlgn val="ctr"/>
        <c:lblOffset val="100"/>
        <c:noMultiLvlLbl val="0"/>
      </c:catAx>
      <c:valAx>
        <c:axId val="126759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589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05"/>
          <c:y val="8.2621359223300966E-2"/>
          <c:w val="0.89999999999999991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8A24AD-69A2-492C-9F2B-8E9B6FE2C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-bco-fs1\DOTPrj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4D5D-9379-496D-88D8-4B7E8D32E3B3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21"/>
  <sheetViews>
    <sheetView zoomScaleNormal="100"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H3" sqref="H3"/>
    </sheetView>
  </sheetViews>
  <sheetFormatPr defaultColWidth="9.140625" defaultRowHeight="12.75" x14ac:dyDescent="0.2"/>
  <cols>
    <col min="1" max="1" width="33.5703125" style="2" customWidth="1"/>
    <col min="2" max="39" width="5.7109375" style="2" customWidth="1"/>
    <col min="40" max="16384" width="9.140625" style="2"/>
  </cols>
  <sheetData>
    <row r="1" spans="1:39" s="1" customFormat="1" ht="16.5" customHeight="1" thickBot="1" x14ac:dyDescent="0.3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1:39" s="9" customFormat="1" ht="16.5" customHeight="1" x14ac:dyDescent="0.3">
      <c r="A2" s="6"/>
      <c r="B2" s="8">
        <v>1987</v>
      </c>
      <c r="C2" s="8">
        <v>1988</v>
      </c>
      <c r="D2" s="8">
        <v>1989</v>
      </c>
      <c r="E2" s="8">
        <v>1990</v>
      </c>
      <c r="F2" s="8">
        <v>1991</v>
      </c>
      <c r="G2" s="8">
        <v>1992</v>
      </c>
      <c r="H2" s="8">
        <v>1993</v>
      </c>
      <c r="I2" s="8">
        <v>1994</v>
      </c>
      <c r="J2" s="8">
        <v>1995</v>
      </c>
      <c r="K2" s="8">
        <v>1996</v>
      </c>
      <c r="L2" s="8">
        <v>1997</v>
      </c>
      <c r="M2" s="8">
        <v>1998</v>
      </c>
      <c r="N2" s="8">
        <v>1999</v>
      </c>
      <c r="O2" s="8">
        <v>2000</v>
      </c>
      <c r="P2" s="8">
        <v>2001</v>
      </c>
      <c r="Q2" s="8">
        <v>2002</v>
      </c>
      <c r="R2" s="8">
        <v>2003</v>
      </c>
      <c r="S2" s="8">
        <v>2004</v>
      </c>
      <c r="T2" s="8">
        <v>2005</v>
      </c>
      <c r="U2" s="8">
        <v>2006</v>
      </c>
      <c r="V2" s="8">
        <v>2007</v>
      </c>
      <c r="W2" s="8">
        <v>2008</v>
      </c>
      <c r="X2" s="8">
        <v>2009</v>
      </c>
      <c r="Y2" s="8">
        <v>2010</v>
      </c>
      <c r="Z2" s="8">
        <v>2011</v>
      </c>
      <c r="AA2" s="8">
        <v>2012</v>
      </c>
      <c r="AB2" s="8">
        <v>2013</v>
      </c>
      <c r="AC2" s="8">
        <v>2014</v>
      </c>
      <c r="AD2" s="8">
        <v>2015</v>
      </c>
      <c r="AE2" s="8">
        <v>2016</v>
      </c>
      <c r="AF2" s="8">
        <v>2017</v>
      </c>
      <c r="AG2" s="8">
        <v>2018</v>
      </c>
      <c r="AH2" s="8">
        <v>2019</v>
      </c>
      <c r="AI2" s="8">
        <v>2020</v>
      </c>
      <c r="AJ2" s="8">
        <v>2021</v>
      </c>
      <c r="AK2" s="8">
        <v>2022</v>
      </c>
      <c r="AL2" s="8">
        <v>2023</v>
      </c>
      <c r="AM2" s="8">
        <v>2024</v>
      </c>
    </row>
    <row r="3" spans="1:39" s="10" customFormat="1" ht="16.5" customHeight="1" x14ac:dyDescent="0.3">
      <c r="A3" s="5" t="s">
        <v>0</v>
      </c>
      <c r="B3" s="11">
        <v>356</v>
      </c>
      <c r="C3" s="11">
        <v>338</v>
      </c>
      <c r="D3" s="11">
        <v>394</v>
      </c>
      <c r="E3" s="11">
        <v>392.803</v>
      </c>
      <c r="F3" s="11">
        <v>298.322</v>
      </c>
      <c r="G3" s="11">
        <v>280.822</v>
      </c>
      <c r="H3" s="11">
        <v>275.75099999999998</v>
      </c>
      <c r="I3" s="11">
        <v>247.709</v>
      </c>
      <c r="J3" s="11">
        <v>236.80199999999999</v>
      </c>
      <c r="K3" s="11">
        <v>271.50700000000001</v>
      </c>
      <c r="L3" s="11">
        <v>245.25899999999999</v>
      </c>
      <c r="M3" s="11">
        <v>306.23399999999998</v>
      </c>
      <c r="N3" s="12">
        <v>374.11599999999999</v>
      </c>
      <c r="O3" s="12">
        <v>450.28899999999999</v>
      </c>
      <c r="P3" s="12">
        <v>348.10300000000001</v>
      </c>
      <c r="Q3" s="12">
        <v>285.649</v>
      </c>
      <c r="R3" s="12">
        <v>316.88799999999998</v>
      </c>
      <c r="S3" s="12">
        <v>455.41399999999999</v>
      </c>
      <c r="T3" s="12">
        <v>437.66699999999997</v>
      </c>
      <c r="U3" s="12">
        <v>491.86</v>
      </c>
      <c r="V3" s="12">
        <v>540.93700000000001</v>
      </c>
      <c r="W3" s="12">
        <v>554.59799999999996</v>
      </c>
      <c r="X3" s="12">
        <v>473.22800000000001</v>
      </c>
      <c r="Y3" s="12">
        <v>335.20100000000002</v>
      </c>
      <c r="Z3" s="12">
        <v>330.06299999999999</v>
      </c>
      <c r="AA3" s="12">
        <v>277.10500000000002</v>
      </c>
      <c r="AB3" s="12">
        <v>333.36900000000003</v>
      </c>
      <c r="AC3" s="12">
        <v>341.11700000000002</v>
      </c>
      <c r="AD3" s="12">
        <v>325.38099999999997</v>
      </c>
      <c r="AE3" s="12">
        <v>345.46600000000001</v>
      </c>
      <c r="AF3" s="12">
        <v>444.928</v>
      </c>
      <c r="AG3" s="12">
        <v>443.53300000000002</v>
      </c>
      <c r="AH3" s="12">
        <v>456.01100000000002</v>
      </c>
      <c r="AI3" s="12">
        <v>92.387</v>
      </c>
      <c r="AJ3" s="12">
        <v>196.386</v>
      </c>
      <c r="AK3" s="12">
        <v>266.88299999999998</v>
      </c>
      <c r="AL3" s="12">
        <v>296.84399999999999</v>
      </c>
      <c r="AM3" s="16">
        <v>357.089</v>
      </c>
    </row>
    <row r="4" spans="1:39" s="10" customFormat="1" ht="16.5" customHeight="1" x14ac:dyDescent="0.3">
      <c r="A4" s="3" t="s">
        <v>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5"/>
    </row>
    <row r="5" spans="1:39" s="10" customFormat="1" ht="16.5" customHeight="1" x14ac:dyDescent="0.3">
      <c r="A5" s="17" t="s">
        <v>1</v>
      </c>
      <c r="B5" s="19">
        <v>67</v>
      </c>
      <c r="C5" s="19">
        <v>70</v>
      </c>
      <c r="D5" s="19">
        <v>57</v>
      </c>
      <c r="E5" s="19">
        <f>(219662/$E$3)/10</f>
        <v>55.921670659338147</v>
      </c>
      <c r="F5" s="19">
        <f>(194867/$F$3)/10</f>
        <v>65.321028955289918</v>
      </c>
      <c r="G5" s="19">
        <f>(182293/$G$3)/10</f>
        <v>64.914073683685757</v>
      </c>
      <c r="H5" s="19">
        <f>(197886/$H$3)/10</f>
        <v>71.762568404103703</v>
      </c>
      <c r="I5" s="19">
        <f>(184630/$I$3)/10</f>
        <v>74.535039098296792</v>
      </c>
      <c r="J5" s="19">
        <f>(171549/$J$3)/10</f>
        <v>72.444067195378423</v>
      </c>
      <c r="K5" s="19">
        <f>(200930/$K$3)/10</f>
        <v>74.005458422803102</v>
      </c>
      <c r="L5" s="19">
        <f>(166783/$L$3)/10</f>
        <v>68.002805197770527</v>
      </c>
      <c r="M5" s="19">
        <f>(227764/$M$3)/10</f>
        <v>74.375804123644016</v>
      </c>
      <c r="N5" s="19">
        <f>(257261/$N$3)/10</f>
        <v>68.765035443552264</v>
      </c>
      <c r="O5" s="19">
        <v>68.730748474868363</v>
      </c>
      <c r="P5" s="19">
        <v>71.662122992332726</v>
      </c>
      <c r="Q5" s="19">
        <v>71.67642806381258</v>
      </c>
      <c r="R5" s="19">
        <v>72.106864254878701</v>
      </c>
      <c r="S5" s="19">
        <v>70.070748813167796</v>
      </c>
      <c r="T5" s="19">
        <v>68.590732223357037</v>
      </c>
      <c r="U5" s="19">
        <v>65.641442686943435</v>
      </c>
      <c r="V5" s="19">
        <v>65.014225316441653</v>
      </c>
      <c r="W5" s="19">
        <v>66.026383073866114</v>
      </c>
      <c r="X5" s="19">
        <v>65.400187647391945</v>
      </c>
      <c r="Y5" s="19">
        <v>69.609577537059849</v>
      </c>
      <c r="Z5" s="19">
        <v>76.011246337820353</v>
      </c>
      <c r="AA5" s="19">
        <v>69.725194420887391</v>
      </c>
      <c r="AB5" s="19">
        <v>69.661546214555045</v>
      </c>
      <c r="AC5" s="21">
        <v>61.906911704781642</v>
      </c>
      <c r="AD5" s="21">
        <v>63.521533217981386</v>
      </c>
      <c r="AE5" s="21">
        <v>66.202752224531508</v>
      </c>
      <c r="AF5" s="21">
        <v>59.598856444188719</v>
      </c>
      <c r="AG5" s="21">
        <v>67.370635330403829</v>
      </c>
      <c r="AH5" s="21">
        <v>68.288484269019818</v>
      </c>
      <c r="AI5" s="21">
        <v>55.837942567677267</v>
      </c>
      <c r="AJ5" s="21">
        <v>55.673011314452147</v>
      </c>
      <c r="AK5" s="21">
        <v>57.626000906764382</v>
      </c>
      <c r="AL5" s="21">
        <v>60.623761975987392</v>
      </c>
      <c r="AM5" s="19">
        <v>53.899167994533585</v>
      </c>
    </row>
    <row r="6" spans="1:39" s="10" customFormat="1" ht="16.5" customHeight="1" x14ac:dyDescent="0.3">
      <c r="A6" s="17" t="s">
        <v>2</v>
      </c>
      <c r="B6" s="19">
        <v>11</v>
      </c>
      <c r="C6" s="19">
        <v>9</v>
      </c>
      <c r="D6" s="19">
        <v>29</v>
      </c>
      <c r="E6" s="19">
        <f>(130379/$E$3)/10</f>
        <v>33.19195627324639</v>
      </c>
      <c r="F6" s="19">
        <f>(76252/$F$3)/10</f>
        <v>25.560300614771958</v>
      </c>
      <c r="G6" s="19">
        <f>(71453/$G$3)/10</f>
        <v>25.444231577298076</v>
      </c>
      <c r="H6" s="19">
        <f>(56821/$H$3)/10</f>
        <v>20.605908954092644</v>
      </c>
      <c r="I6" s="19">
        <f>(45134/$I$3)/10</f>
        <v>18.22057333403308</v>
      </c>
      <c r="J6" s="19">
        <f>(41325/$J$3)/10</f>
        <v>17.451288418172144</v>
      </c>
      <c r="K6" s="19">
        <f>(45470/$K$3)/10</f>
        <v>16.747266184665587</v>
      </c>
      <c r="L6" s="19">
        <f>(49688/$L$3)/10</f>
        <v>20.259399247326296</v>
      </c>
      <c r="M6" s="19">
        <f>(39231/$M$3)/10</f>
        <v>12.810791747487215</v>
      </c>
      <c r="N6" s="19">
        <f>(30164/$N$3)/10</f>
        <v>8.0627398988549004</v>
      </c>
      <c r="O6" s="19">
        <v>14.001674480167182</v>
      </c>
      <c r="P6" s="19">
        <v>11.992140257337628</v>
      </c>
      <c r="Q6" s="19">
        <v>13.902376693074366</v>
      </c>
      <c r="R6" s="19">
        <v>10.765002145868571</v>
      </c>
      <c r="S6" s="19">
        <v>14.549399008374797</v>
      </c>
      <c r="T6" s="19">
        <v>15.12725428236536</v>
      </c>
      <c r="U6" s="19">
        <v>15.627820924653356</v>
      </c>
      <c r="V6" s="19">
        <v>18.63340832666281</v>
      </c>
      <c r="W6" s="19">
        <v>19.862855617943087</v>
      </c>
      <c r="X6" s="19">
        <v>21.971016085269678</v>
      </c>
      <c r="Y6" s="19">
        <v>18.834371019179539</v>
      </c>
      <c r="Z6" s="19">
        <v>15.724876765950743</v>
      </c>
      <c r="AA6" s="19">
        <v>16.662636906587753</v>
      </c>
      <c r="AB6" s="19">
        <v>18.527217587718113</v>
      </c>
      <c r="AC6" s="21">
        <v>20.836545818590103</v>
      </c>
      <c r="AD6" s="21">
        <v>23.525344135029396</v>
      </c>
      <c r="AE6" s="21">
        <v>23.379145849374471</v>
      </c>
      <c r="AF6" s="21">
        <v>23.702711449942463</v>
      </c>
      <c r="AG6" s="21">
        <v>21.315437633727367</v>
      </c>
      <c r="AH6" s="21">
        <v>20.839848161557505</v>
      </c>
      <c r="AI6" s="21">
        <v>30.319200753352742</v>
      </c>
      <c r="AJ6" s="21">
        <v>28.202621368121967</v>
      </c>
      <c r="AK6" s="21">
        <v>27.451355088184709</v>
      </c>
      <c r="AL6" s="21">
        <v>26.741992426998696</v>
      </c>
      <c r="AM6" s="19">
        <v>27.490345544108052</v>
      </c>
    </row>
    <row r="7" spans="1:39" s="10" customFormat="1" ht="16.5" customHeight="1" x14ac:dyDescent="0.3">
      <c r="A7" s="17" t="s">
        <v>7</v>
      </c>
      <c r="B7" s="19">
        <v>13</v>
      </c>
      <c r="C7" s="19">
        <v>12</v>
      </c>
      <c r="D7" s="19">
        <v>8</v>
      </c>
      <c r="E7" s="19">
        <f>(8146/$E$3)/10</f>
        <v>2.0738130818756479</v>
      </c>
      <c r="F7" s="19">
        <f>(3694/$F$3)/10</f>
        <v>1.2382593305220533</v>
      </c>
      <c r="G7" s="19">
        <f>(4802/$G$3)/10</f>
        <v>1.7099799873229304</v>
      </c>
      <c r="H7" s="19">
        <f>(2760/$H$3)/10</f>
        <v>1.0009029885657714</v>
      </c>
      <c r="I7" s="19">
        <f>(2608/$I$3)/10</f>
        <v>1.0528483018380439</v>
      </c>
      <c r="J7" s="19">
        <f>(2396/$J$3)/10</f>
        <v>1.0118157785829511</v>
      </c>
      <c r="K7" s="19">
        <f>(4638/$K$3)/10</f>
        <v>1.7082432497136353</v>
      </c>
      <c r="L7" s="19">
        <f>(4727/$L$3)/10</f>
        <v>1.9273502705303376</v>
      </c>
      <c r="M7" s="19">
        <f>(5701/$M$3)/10</f>
        <v>1.8616482820326941</v>
      </c>
      <c r="N7" s="19">
        <f>(14153/$N$3)/10</f>
        <v>3.7830512461375618</v>
      </c>
      <c r="O7" s="19" t="s">
        <v>9</v>
      </c>
      <c r="P7" s="19" t="s">
        <v>9</v>
      </c>
      <c r="Q7" s="19" t="s">
        <v>9</v>
      </c>
      <c r="R7" s="19" t="s">
        <v>9</v>
      </c>
      <c r="S7" s="19" t="s">
        <v>9</v>
      </c>
      <c r="T7" s="19" t="s">
        <v>9</v>
      </c>
      <c r="U7" s="19" t="s">
        <v>9</v>
      </c>
      <c r="V7" s="19" t="s">
        <v>9</v>
      </c>
      <c r="W7" s="19" t="s">
        <v>9</v>
      </c>
      <c r="X7" s="19" t="s">
        <v>9</v>
      </c>
      <c r="Y7" s="19" t="s">
        <v>9</v>
      </c>
      <c r="Z7" s="19" t="s">
        <v>9</v>
      </c>
      <c r="AA7" s="19" t="s">
        <v>9</v>
      </c>
      <c r="AB7" s="19" t="s">
        <v>9</v>
      </c>
      <c r="AC7" s="19" t="s">
        <v>9</v>
      </c>
      <c r="AD7" s="19" t="s">
        <v>9</v>
      </c>
      <c r="AE7" s="19" t="s">
        <v>9</v>
      </c>
      <c r="AF7" s="19" t="s">
        <v>9</v>
      </c>
      <c r="AG7" s="19" t="s">
        <v>9</v>
      </c>
      <c r="AH7" s="19" t="s">
        <v>9</v>
      </c>
      <c r="AI7" s="21" t="s">
        <v>9</v>
      </c>
      <c r="AJ7" s="21" t="s">
        <v>9</v>
      </c>
      <c r="AK7" s="21" t="s">
        <v>9</v>
      </c>
      <c r="AL7" s="21" t="s">
        <v>9</v>
      </c>
      <c r="AM7" s="19" t="s">
        <v>9</v>
      </c>
    </row>
    <row r="8" spans="1:39" s="10" customFormat="1" ht="16.5" customHeight="1" x14ac:dyDescent="0.3">
      <c r="A8" s="17" t="s">
        <v>6</v>
      </c>
      <c r="B8" s="19">
        <v>4</v>
      </c>
      <c r="C8" s="19">
        <v>5</v>
      </c>
      <c r="D8" s="19">
        <v>3</v>
      </c>
      <c r="E8" s="19">
        <f>(11950/$E$3)/10</f>
        <v>3.0422374574532274</v>
      </c>
      <c r="F8" s="19">
        <f>(10210/$F$3)/10</f>
        <v>3.4224763845777382</v>
      </c>
      <c r="G8" s="19">
        <f>(8714/$G$3)/10</f>
        <v>3.1030332381366135</v>
      </c>
      <c r="H8" s="19">
        <f>(8034/$H$3)/10</f>
        <v>2.9134980471512346</v>
      </c>
      <c r="I8" s="19">
        <f>(5744/$I$3)/10</f>
        <v>2.3188499408580228</v>
      </c>
      <c r="J8" s="19">
        <f>(6686/$J$3)/10</f>
        <v>2.8234558829739616</v>
      </c>
      <c r="K8" s="19">
        <f>(7947/$K$3)/10</f>
        <v>2.926996357368318</v>
      </c>
      <c r="L8" s="19">
        <f>(8073/$L$3)/10</f>
        <v>3.2916223257862098</v>
      </c>
      <c r="M8" s="19">
        <f>(8268/$M$3)/10</f>
        <v>2.6998961578400831</v>
      </c>
      <c r="N8" s="19">
        <f>(17422/$N$3)/10</f>
        <v>4.6568444012017665</v>
      </c>
      <c r="O8" s="19">
        <v>5.9044302658959023</v>
      </c>
      <c r="P8" s="19">
        <v>5.205355886045222</v>
      </c>
      <c r="Q8" s="19">
        <v>4.3465931965454105</v>
      </c>
      <c r="R8" s="19">
        <v>6.6364141273888571</v>
      </c>
      <c r="S8" s="19">
        <v>5.9622672996438402</v>
      </c>
      <c r="T8" s="19">
        <v>10.236092737172326</v>
      </c>
      <c r="U8" s="19">
        <v>14.270320822998414</v>
      </c>
      <c r="V8" s="19">
        <v>11.906192403181887</v>
      </c>
      <c r="W8" s="19">
        <v>9.4573006033198812</v>
      </c>
      <c r="X8" s="19">
        <v>5.8111523409434778</v>
      </c>
      <c r="Y8" s="19">
        <v>4.4248078018860326</v>
      </c>
      <c r="Z8" s="19">
        <v>2.7646237233497848</v>
      </c>
      <c r="AA8" s="19">
        <v>7.156853900146154</v>
      </c>
      <c r="AB8" s="19">
        <v>4.9743677426515367</v>
      </c>
      <c r="AC8" s="21">
        <v>7.8629912903783756</v>
      </c>
      <c r="AD8" s="21">
        <v>6.9106678017462606</v>
      </c>
      <c r="AE8" s="21">
        <v>5.5666838415357809</v>
      </c>
      <c r="AF8" s="21">
        <v>9.7705696202531644</v>
      </c>
      <c r="AG8" s="21">
        <v>6.6159676957520634</v>
      </c>
      <c r="AH8" s="21">
        <v>6.4224327921914171</v>
      </c>
      <c r="AI8" s="21">
        <v>6.2725275201056432</v>
      </c>
      <c r="AJ8" s="21">
        <v>9.3703217133604237</v>
      </c>
      <c r="AK8" s="21">
        <v>5.3765133035824686</v>
      </c>
      <c r="AL8" s="21">
        <v>8.6621255609006749</v>
      </c>
      <c r="AM8" s="19">
        <v>10.727857760950352</v>
      </c>
    </row>
    <row r="9" spans="1:39" s="10" customFormat="1" ht="16.5" customHeight="1" x14ac:dyDescent="0.3">
      <c r="A9" s="17" t="s">
        <v>4</v>
      </c>
      <c r="B9" s="19">
        <v>4</v>
      </c>
      <c r="C9" s="19">
        <v>3</v>
      </c>
      <c r="D9" s="19">
        <v>2</v>
      </c>
      <c r="E9" s="19">
        <f>(5249/$E$3)/10</f>
        <v>1.3362932564160661</v>
      </c>
      <c r="F9" s="19">
        <f>(5726/$F$3)/10</f>
        <v>1.919402524788651</v>
      </c>
      <c r="G9" s="19">
        <f>(5178/$G$3)/10</f>
        <v>1.8438726310616691</v>
      </c>
      <c r="H9" s="19">
        <f>(4708/$H$3)/10</f>
        <v>1.70733741672741</v>
      </c>
      <c r="I9" s="19">
        <f>(3987/$I$3)/10</f>
        <v>1.6095499154249542</v>
      </c>
      <c r="J9" s="19">
        <f>(6310/$J$3)/10</f>
        <v>2.664673440258106</v>
      </c>
      <c r="K9" s="19">
        <f>(5873/$K$3)/10</f>
        <v>2.1631118166382448</v>
      </c>
      <c r="L9" s="19">
        <f>(6394/$L$3)/10</f>
        <v>2.6070399047537505</v>
      </c>
      <c r="M9" s="19">
        <f>(5962/$M$3)/10</f>
        <v>1.9468772246060204</v>
      </c>
      <c r="N9" s="19">
        <f>(7709/$N$3)/10</f>
        <v>2.0605908327898299</v>
      </c>
      <c r="O9" s="19">
        <v>2.1461772328437956</v>
      </c>
      <c r="P9" s="19">
        <v>1.6348609463291037</v>
      </c>
      <c r="Q9" s="19">
        <v>1.1188556585179714</v>
      </c>
      <c r="R9" s="19">
        <v>1.0224432607104088</v>
      </c>
      <c r="S9" s="19">
        <v>1.0271972315299924</v>
      </c>
      <c r="T9" s="19">
        <v>0.92147683055839258</v>
      </c>
      <c r="U9" s="19">
        <v>1.1391452852437687</v>
      </c>
      <c r="V9" s="19">
        <v>0.99327648136474311</v>
      </c>
      <c r="W9" s="19">
        <v>1.0183953061496795</v>
      </c>
      <c r="X9" s="19">
        <v>0.54096545428419285</v>
      </c>
      <c r="Y9" s="19">
        <v>0.46569073481284368</v>
      </c>
      <c r="Z9" s="19">
        <v>0.64199864874281576</v>
      </c>
      <c r="AA9" s="19">
        <v>0.7498962487143862</v>
      </c>
      <c r="AB9" s="19">
        <v>0.36236122734867365</v>
      </c>
      <c r="AC9" s="21">
        <v>3.7910746166271396</v>
      </c>
      <c r="AD9" s="21">
        <v>0.44040678466167354</v>
      </c>
      <c r="AE9" s="21">
        <v>0.43130148842433119</v>
      </c>
      <c r="AF9" s="21">
        <v>0.27127984752589185</v>
      </c>
      <c r="AG9" s="21">
        <v>0.3064033566837191</v>
      </c>
      <c r="AH9" s="21">
        <v>0.64515987552931842</v>
      </c>
      <c r="AI9" s="21">
        <v>0.78690724885535845</v>
      </c>
      <c r="AJ9" s="21">
        <v>0.17211002820975019</v>
      </c>
      <c r="AK9" s="21">
        <v>0.56766448218882426</v>
      </c>
      <c r="AL9" s="21">
        <v>1.3559310614329412</v>
      </c>
      <c r="AM9" s="19">
        <v>1.6295657385133677</v>
      </c>
    </row>
    <row r="10" spans="1:39" s="10" customFormat="1" ht="16.5" customHeight="1" thickBot="1" x14ac:dyDescent="0.35">
      <c r="A10" s="18" t="s">
        <v>3</v>
      </c>
      <c r="B10" s="20">
        <v>1</v>
      </c>
      <c r="C10" s="20">
        <v>1</v>
      </c>
      <c r="D10" s="20">
        <v>1</v>
      </c>
      <c r="E10" s="20">
        <f>(17417/$E$3)/10</f>
        <v>4.4340292716705321</v>
      </c>
      <c r="F10" s="20">
        <f>(7573/$F$3)/10</f>
        <v>2.5385321900496778</v>
      </c>
      <c r="G10" s="20">
        <f>(8382/$G$3)/10</f>
        <v>2.9848088824949612</v>
      </c>
      <c r="H10" s="20">
        <f>(5542/$H$3)/10</f>
        <v>2.009784189359241</v>
      </c>
      <c r="I10" s="20">
        <f>(5606/$I$3)/10</f>
        <v>2.2631394095491078</v>
      </c>
      <c r="J10" s="20">
        <f>(8536/$J$3)/10</f>
        <v>3.6046992846344201</v>
      </c>
      <c r="K10" s="20">
        <f>(6649/$K$3)/10</f>
        <v>2.4489239688111173</v>
      </c>
      <c r="L10" s="20">
        <f>(9594/$L$3)/10</f>
        <v>3.9117830538328868</v>
      </c>
      <c r="M10" s="20">
        <f>(19308/$M$3)/10</f>
        <v>6.304982464389977</v>
      </c>
      <c r="N10" s="20">
        <f>(47407/$N$3)/10</f>
        <v>12.671738177463675</v>
      </c>
      <c r="O10" s="20">
        <v>9.2169695462247585</v>
      </c>
      <c r="P10" s="20">
        <v>9.5055199179553185</v>
      </c>
      <c r="Q10" s="20">
        <v>8.9557463880496702</v>
      </c>
      <c r="R10" s="20">
        <v>9.469276211153467</v>
      </c>
      <c r="S10" s="20">
        <v>8.3903876472835712</v>
      </c>
      <c r="T10" s="20">
        <v>5.1244439265468955</v>
      </c>
      <c r="U10" s="20">
        <v>3.3212702801610212</v>
      </c>
      <c r="V10" s="20">
        <v>3.4528974723489059</v>
      </c>
      <c r="W10" s="20">
        <v>3.6350653987212356</v>
      </c>
      <c r="X10" s="20">
        <v>6.2766784721106941</v>
      </c>
      <c r="Y10" s="20">
        <v>6.6655529070617341</v>
      </c>
      <c r="Z10" s="20">
        <v>4.8572545241363017</v>
      </c>
      <c r="AA10" s="20">
        <v>5.7054185236643153</v>
      </c>
      <c r="AB10" s="20">
        <v>6.4745072277266331</v>
      </c>
      <c r="AC10" s="20">
        <v>5.6024765696227394</v>
      </c>
      <c r="AD10" s="20">
        <v>5.6020480605812875</v>
      </c>
      <c r="AE10" s="20">
        <v>4.4201165961339175</v>
      </c>
      <c r="AF10" s="20">
        <v>6.656582638089759</v>
      </c>
      <c r="AG10" s="20">
        <v>4.3915559834330251</v>
      </c>
      <c r="AH10" s="20">
        <v>3.8040749017019331</v>
      </c>
      <c r="AI10" s="20">
        <v>6.7834219100089843</v>
      </c>
      <c r="AJ10" s="20">
        <v>6.581935575855713</v>
      </c>
      <c r="AK10" s="20">
        <v>8.9784662192796105</v>
      </c>
      <c r="AL10" s="20">
        <v>2.6161889746803033</v>
      </c>
      <c r="AM10" s="20">
        <v>6.2530629618946536</v>
      </c>
    </row>
    <row r="11" spans="1:39" s="14" customFormat="1" ht="12.75" customHeight="1" x14ac:dyDescent="0.2">
      <c r="A11" s="25" t="s">
        <v>13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9" s="4" customFormat="1" ht="12.75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9" s="4" customFormat="1" ht="12.75" customHeight="1" x14ac:dyDescent="0.2">
      <c r="A13" s="27" t="s">
        <v>12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</row>
    <row r="14" spans="1:39" s="4" customFormat="1" ht="25.5" customHeight="1" x14ac:dyDescent="0.2">
      <c r="A14" s="23" t="s">
        <v>11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</row>
    <row r="15" spans="1:39" s="4" customFormat="1" ht="12.75" customHeight="1" x14ac:dyDescent="0.2">
      <c r="A15" s="23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</row>
    <row r="16" spans="1:39" s="4" customFormat="1" ht="12.75" customHeight="1" x14ac:dyDescent="0.2">
      <c r="A16" s="23" t="s">
        <v>16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</row>
    <row r="17" spans="1:32" s="4" customFormat="1" ht="12.75" customHeight="1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1:32" s="4" customFormat="1" ht="12.75" customHeight="1" x14ac:dyDescent="0.2">
      <c r="A18" s="27" t="s">
        <v>5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</row>
    <row r="19" spans="1:32" s="4" customFormat="1" ht="12.75" customHeight="1" x14ac:dyDescent="0.2">
      <c r="A19" s="29" t="s">
        <v>14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</row>
    <row r="20" spans="1:32" s="4" customFormat="1" ht="12.75" customHeight="1" x14ac:dyDescent="0.2">
      <c r="A20" s="24" t="s">
        <v>17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x14ac:dyDescent="0.2">
      <c r="A21" s="4"/>
      <c r="B21" s="4"/>
      <c r="C21" s="4"/>
      <c r="D21" s="4"/>
      <c r="E21" s="4"/>
      <c r="F21" s="4"/>
      <c r="G21" s="4"/>
      <c r="H21" s="4"/>
    </row>
  </sheetData>
  <mergeCells count="11">
    <mergeCell ref="A1:AM1"/>
    <mergeCell ref="A16:AF16"/>
    <mergeCell ref="A20:AF20"/>
    <mergeCell ref="A11:AF11"/>
    <mergeCell ref="A12:AF12"/>
    <mergeCell ref="A13:AF13"/>
    <mergeCell ref="A14:AF14"/>
    <mergeCell ref="A17:AF17"/>
    <mergeCell ref="A18:AF18"/>
    <mergeCell ref="A19:AF19"/>
    <mergeCell ref="A15:AF15"/>
  </mergeCells>
  <phoneticPr fontId="0" type="noConversion"/>
  <pageMargins left="0.5" right="0.5" top="0.5" bottom="0.5" header="0.25" footer="0.25"/>
  <pageSetup scale="59" orientation="landscape" r:id="rId1"/>
  <headerFooter alignWithMargins="0"/>
  <webPublishItems count="1">
    <webPublishItem id="30460" divId="table_01_67_30460" sourceType="sheet" destinationFile="C:\Users\dominique.megret\Desktop\current tasks\BTS\nts_2011\table_01_67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1-67</vt:lpstr>
      <vt:lpstr>'1-67'!Print_Area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Megret, Dominique CTR (RITA)</dc:creator>
  <cp:lastModifiedBy>Palumbo, Daniel CTR (OST)</cp:lastModifiedBy>
  <cp:revision>0</cp:revision>
  <cp:lastPrinted>2009-10-06T18:27:22Z</cp:lastPrinted>
  <dcterms:created xsi:type="dcterms:W3CDTF">1980-01-01T04:00:00Z</dcterms:created>
  <dcterms:modified xsi:type="dcterms:W3CDTF">2025-09-26T15:35:02Z</dcterms:modified>
</cp:coreProperties>
</file>